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770" activeTab="0"/>
  </bookViews>
  <sheets>
    <sheet name="1314 prosp" sheetId="1" r:id="rId1"/>
  </sheets>
  <definedNames>
    <definedName name="_xlnm.Print_Area" localSheetId="0">'1314 prosp'!$A$1:$G$58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7" authorId="0">
      <text>
        <r>
          <rPr>
            <b/>
            <sz val="10"/>
            <rFont val="Tahoma"/>
            <family val="0"/>
          </rPr>
          <t>Revenues are allocated NDC/DC on a pro-rata basis of adjusted NDC (less median)/DC costs</t>
        </r>
        <r>
          <rPr>
            <sz val="10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10"/>
            <rFont val="Tahoma"/>
            <family val="0"/>
          </rPr>
          <t>TCS is allocated NDC/DC on a pro-rata basis of NDC/DC costs before TCS calculation.</t>
        </r>
        <r>
          <rPr>
            <sz val="10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10"/>
            <rFont val="Tahoma"/>
            <family val="0"/>
          </rPr>
          <t>Reimb $$ NDC = adjusted NDC costs - median adj - offsetting revs NDC - NDC screen + NDC screen waiver - TCS NDC + TCS waiver NDC.</t>
        </r>
        <r>
          <rPr>
            <sz val="10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10"/>
            <rFont val="Tahoma"/>
            <family val="0"/>
          </rPr>
          <t>Reimb $$ DC = adjusted DC costs - offsetting revs DC - TCS DC + TCS waiver DC.</t>
        </r>
        <r>
          <rPr>
            <sz val="10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10"/>
            <rFont val="Tahoma"/>
            <family val="0"/>
          </rPr>
          <t>2011-12 recon adjusted DC costs (excl depr) inflated by 3.0% + 2011-12 DC depr (no growth).</t>
        </r>
        <r>
          <rPr>
            <sz val="10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10"/>
            <rFont val="Tahoma"/>
            <family val="2"/>
          </rPr>
          <t>NDC per diem costs held to 2011-12 recon reimb per diem NDC $59.98.</t>
        </r>
        <r>
          <rPr>
            <sz val="10"/>
            <rFont val="Tahoma"/>
            <family val="0"/>
          </rPr>
          <t xml:space="preserve">
</t>
        </r>
      </text>
    </comment>
    <comment ref="E31" authorId="0">
      <text>
        <r>
          <rPr>
            <b/>
            <sz val="10"/>
            <rFont val="Tahoma"/>
            <family val="0"/>
          </rPr>
          <t>DC per diem costs held to 2011-12 recon reimb per diem DC $141.51 + 3.0% = $145.76.</t>
        </r>
        <r>
          <rPr>
            <sz val="10"/>
            <rFont val="Tahoma"/>
            <family val="0"/>
          </rPr>
          <t xml:space="preserve">
</t>
        </r>
      </text>
    </comment>
    <comment ref="E36" authorId="0">
      <text>
        <r>
          <rPr>
            <b/>
            <sz val="10"/>
            <rFont val="Tahoma"/>
            <family val="0"/>
          </rPr>
          <t>NDC Reimb $$ = adj NDC costs - median adj - offsetting revs NDC - NDC screen + NDC screen waiver - TCS NDC + TCS waiver NDC.</t>
        </r>
        <r>
          <rPr>
            <sz val="10"/>
            <rFont val="Tahoma"/>
            <family val="0"/>
          </rPr>
          <t xml:space="preserve">
</t>
        </r>
      </text>
    </comment>
    <comment ref="E37" authorId="0">
      <text>
        <r>
          <rPr>
            <b/>
            <sz val="10"/>
            <rFont val="Tahoma"/>
            <family val="0"/>
          </rPr>
          <t>DC Reimb $$ = adjusted DC costs - offsetting revs DC - TCS DC + TCS waiver DC.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<sst xmlns="http://schemas.openxmlformats.org/spreadsheetml/2006/main" count="62" uniqueCount="36">
  <si>
    <t>2011-12 RECON</t>
  </si>
  <si>
    <t>2013-14 PROSP</t>
  </si>
  <si>
    <t>CARE DAYS</t>
  </si>
  <si>
    <t>DC TREND</t>
  </si>
  <si>
    <t>PER</t>
  </si>
  <si>
    <t>AMOUNT</t>
  </si>
  <si>
    <t>DIEM</t>
  </si>
  <si>
    <t>NDC COSTS</t>
  </si>
  <si>
    <t>DC COSTS</t>
  </si>
  <si>
    <t>MEDIAN ADJ</t>
  </si>
  <si>
    <t>OFFSETTING REVS</t>
  </si>
  <si>
    <t>GROSS COSTS</t>
  </si>
  <si>
    <t>NDC SCREEN</t>
  </si>
  <si>
    <t>NDC WAIVER</t>
  </si>
  <si>
    <t>COSTS BEFORE TCS</t>
  </si>
  <si>
    <t>NDC LYPD</t>
  </si>
  <si>
    <t>TCS</t>
  </si>
  <si>
    <t>DC LYPD +3%</t>
  </si>
  <si>
    <t>TCS WAIVER</t>
  </si>
  <si>
    <t>MAX PER DIEM</t>
  </si>
  <si>
    <t>REIMB $</t>
  </si>
  <si>
    <t>TOTAL REIMB $$</t>
  </si>
  <si>
    <t>Two 2013-14 prosp TCS calculations: 1) 2011-12 DC recon per diem plus 3%</t>
  </si>
  <si>
    <t>2) 2011-12 NDC per diem plus 0%</t>
  </si>
  <si>
    <t>TSG WAIVER</t>
  </si>
  <si>
    <t>2013-14 School Age Methodology - Prospective Tuition Rates</t>
  </si>
  <si>
    <t>OFFSET REVS - NDC</t>
  </si>
  <si>
    <t>OFFSET REVS - DC</t>
  </si>
  <si>
    <t>TCS - NDC</t>
  </si>
  <si>
    <t>TCS - DC</t>
  </si>
  <si>
    <t>TCS WAIVER - NDC</t>
  </si>
  <si>
    <t>TCS WAIVER - DC</t>
  </si>
  <si>
    <t>REIMB $$ - NDC</t>
  </si>
  <si>
    <t>REIMB $$ - DC</t>
  </si>
  <si>
    <t>DC COSTS - DEPR</t>
  </si>
  <si>
    <t>2010-11 RECON PD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</si>
</sst>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5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7" fontId="0" fillId="0" borderId="0" xfId="0" applyNumberFormat="1" applyAlignment="1">
      <alignment horizontal="right"/>
    </xf>
    <xf numFmtId="5" fontId="0" fillId="0" borderId="0" xfId="0" applyNumberFormat="1" applyBorder="1" applyAlignment="1">
      <alignment/>
    </xf>
    <xf numFmtId="7" fontId="0" fillId="0" borderId="0" xfId="0" applyNumberFormat="1" applyBorder="1" applyAlignment="1">
      <alignment horizontal="right"/>
    </xf>
    <xf numFmtId="5" fontId="0" fillId="0" borderId="1" xfId="0" applyNumberFormat="1" applyBorder="1" applyAlignment="1">
      <alignment/>
    </xf>
    <xf numFmtId="7" fontId="0" fillId="0" borderId="1" xfId="0" applyNumberFormat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37" fontId="0" fillId="2" borderId="0" xfId="0" applyNumberFormat="1" applyFill="1" applyAlignment="1">
      <alignment/>
    </xf>
    <xf numFmtId="5" fontId="0" fillId="2" borderId="0" xfId="0" applyNumberFormat="1" applyFill="1" applyAlignment="1">
      <alignment/>
    </xf>
    <xf numFmtId="5" fontId="0" fillId="2" borderId="0" xfId="0" applyNumberFormat="1" applyFill="1" applyBorder="1" applyAlignment="1">
      <alignment/>
    </xf>
    <xf numFmtId="5" fontId="0" fillId="2" borderId="1" xfId="0" applyNumberFormat="1" applyFill="1" applyBorder="1" applyAlignment="1">
      <alignment/>
    </xf>
    <xf numFmtId="7" fontId="0" fillId="2" borderId="0" xfId="0" applyNumberForma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E37" sqref="E37"/>
    </sheetView>
  </sheetViews>
  <sheetFormatPr defaultColWidth="9.140625" defaultRowHeight="12.75"/>
  <cols>
    <col min="1" max="1" width="20.7109375" style="0" customWidth="1"/>
    <col min="2" max="2" width="13.421875" style="1" bestFit="1" customWidth="1"/>
    <col min="3" max="3" width="9.57421875" style="2" customWidth="1"/>
    <col min="4" max="4" width="4.00390625" style="0" customWidth="1"/>
    <col min="5" max="5" width="20.00390625" style="0" bestFit="1" customWidth="1"/>
    <col min="6" max="6" width="12.28125" style="0" bestFit="1" customWidth="1"/>
    <col min="7" max="7" width="10.8515625" style="0" customWidth="1"/>
  </cols>
  <sheetData>
    <row r="1" ht="12.75">
      <c r="D1" s="3" t="s">
        <v>25</v>
      </c>
    </row>
    <row r="2" ht="12.75">
      <c r="D2" s="3" t="s">
        <v>22</v>
      </c>
    </row>
    <row r="3" ht="12.75">
      <c r="D3" s="4" t="s">
        <v>23</v>
      </c>
    </row>
    <row r="4" ht="12.75"/>
    <row r="5" spans="1:7" ht="12.75">
      <c r="A5" s="5" t="s">
        <v>0</v>
      </c>
      <c r="E5" s="5" t="s">
        <v>1</v>
      </c>
      <c r="F5" s="1"/>
      <c r="G5" s="2"/>
    </row>
    <row r="6" spans="1:7" ht="12.75">
      <c r="A6" t="s">
        <v>2</v>
      </c>
      <c r="B6" s="21">
        <v>2000</v>
      </c>
      <c r="E6" t="s">
        <v>2</v>
      </c>
      <c r="F6" s="6">
        <f>B6</f>
        <v>2000</v>
      </c>
      <c r="G6" s="2"/>
    </row>
    <row r="7" spans="2:7" ht="12.75">
      <c r="B7" s="6"/>
      <c r="E7" t="s">
        <v>3</v>
      </c>
      <c r="F7" s="7">
        <v>0.03</v>
      </c>
      <c r="G7" s="2"/>
    </row>
    <row r="8" spans="2:7" ht="12.75">
      <c r="B8" s="6"/>
      <c r="C8" s="2" t="s">
        <v>4</v>
      </c>
      <c r="F8" s="6"/>
      <c r="G8" s="2" t="s">
        <v>4</v>
      </c>
    </row>
    <row r="9" spans="2:7" ht="12.75">
      <c r="B9" s="8" t="s">
        <v>5</v>
      </c>
      <c r="C9" s="9" t="s">
        <v>6</v>
      </c>
      <c r="F9" s="8" t="s">
        <v>5</v>
      </c>
      <c r="G9" s="9" t="s">
        <v>6</v>
      </c>
    </row>
    <row r="10" spans="1:7" ht="12.75">
      <c r="A10" t="s">
        <v>7</v>
      </c>
      <c r="B10" s="22">
        <v>140000</v>
      </c>
      <c r="C10" s="10">
        <f aca="true" t="shared" si="0" ref="C10:C18">B10/$B$6</f>
        <v>70</v>
      </c>
      <c r="E10" t="s">
        <v>7</v>
      </c>
      <c r="F10" s="1">
        <f>B10</f>
        <v>140000</v>
      </c>
      <c r="G10" s="10">
        <f>F10/$F$6</f>
        <v>70</v>
      </c>
    </row>
    <row r="11" spans="1:7" ht="12.75">
      <c r="A11" t="s">
        <v>8</v>
      </c>
      <c r="B11" s="23">
        <v>298086</v>
      </c>
      <c r="C11" s="12">
        <f t="shared" si="0"/>
        <v>149.043</v>
      </c>
      <c r="E11" t="s">
        <v>8</v>
      </c>
      <c r="F11" s="11">
        <f>B11*1.03+B12</f>
        <v>307999.58</v>
      </c>
      <c r="G11" s="12">
        <f>F11/$F$6</f>
        <v>153.99979000000002</v>
      </c>
    </row>
    <row r="12" spans="1:7" ht="12.75">
      <c r="A12" t="s">
        <v>34</v>
      </c>
      <c r="B12" s="23">
        <v>971</v>
      </c>
      <c r="C12" s="12">
        <f t="shared" si="0"/>
        <v>0.4855</v>
      </c>
      <c r="E12" t="s">
        <v>9</v>
      </c>
      <c r="F12" s="22">
        <v>-2000</v>
      </c>
      <c r="G12" s="12">
        <f>F12/$B$6</f>
        <v>-1</v>
      </c>
    </row>
    <row r="13" spans="1:7" ht="12.75">
      <c r="A13" t="s">
        <v>9</v>
      </c>
      <c r="B13" s="22">
        <v>-2000</v>
      </c>
      <c r="C13" s="12">
        <f t="shared" si="0"/>
        <v>-1</v>
      </c>
      <c r="E13" t="s">
        <v>10</v>
      </c>
      <c r="F13" s="24">
        <v>-2500</v>
      </c>
      <c r="G13" s="14">
        <f>F13/$B$6</f>
        <v>-1.25</v>
      </c>
    </row>
    <row r="14" spans="1:7" ht="12.75">
      <c r="A14" t="s">
        <v>10</v>
      </c>
      <c r="B14" s="24">
        <v>-2500</v>
      </c>
      <c r="C14" s="14">
        <f t="shared" si="0"/>
        <v>-1.25</v>
      </c>
      <c r="E14" t="s">
        <v>11</v>
      </c>
      <c r="F14" s="1">
        <f>SUM(F10:F13)</f>
        <v>443499.58</v>
      </c>
      <c r="G14" s="10">
        <f>F14/$F$6</f>
        <v>221.74979000000002</v>
      </c>
    </row>
    <row r="15" spans="1:7" ht="12.75">
      <c r="A15" t="s">
        <v>11</v>
      </c>
      <c r="B15" s="1">
        <f>SUM(B10:B14)</f>
        <v>434557</v>
      </c>
      <c r="C15" s="10">
        <f t="shared" si="0"/>
        <v>217.2785</v>
      </c>
      <c r="E15" t="s">
        <v>12</v>
      </c>
      <c r="F15" s="11">
        <f>IF((F11*0.4286)&lt;F10+F12,(F11*0.4286)-(F10+F12),0)</f>
        <v>-5991.380012000009</v>
      </c>
      <c r="G15" s="12">
        <f>F15/$F$6</f>
        <v>-2.9956900060000042</v>
      </c>
    </row>
    <row r="16" spans="1:7" ht="12.75">
      <c r="A16" t="s">
        <v>12</v>
      </c>
      <c r="B16" s="11">
        <f>IF(((B11+B12)*0.4286)&lt;B10+B13,((B11+B12)*0.4286)-(B10+B13),0)</f>
        <v>-9824.169800000003</v>
      </c>
      <c r="C16" s="12">
        <f t="shared" si="0"/>
        <v>-4.912084900000002</v>
      </c>
      <c r="E16" t="s">
        <v>13</v>
      </c>
      <c r="F16" s="24">
        <v>0</v>
      </c>
      <c r="G16" s="14">
        <f>F16/$F$6</f>
        <v>0</v>
      </c>
    </row>
    <row r="17" spans="1:7" ht="12.75">
      <c r="A17" t="s">
        <v>13</v>
      </c>
      <c r="B17" s="24">
        <v>0</v>
      </c>
      <c r="C17" s="14">
        <f t="shared" si="0"/>
        <v>0</v>
      </c>
      <c r="E17" t="s">
        <v>14</v>
      </c>
      <c r="F17" s="1">
        <f>F14+F15</f>
        <v>437508.199988</v>
      </c>
      <c r="G17" s="12">
        <f>F17/$F$6</f>
        <v>218.754099994</v>
      </c>
    </row>
    <row r="18" spans="1:7" ht="12.75">
      <c r="A18" t="s">
        <v>14</v>
      </c>
      <c r="B18" s="1">
        <f>B15+B16+B17</f>
        <v>424732.83019999997</v>
      </c>
      <c r="C18" s="12">
        <f t="shared" si="0"/>
        <v>212.36641509999998</v>
      </c>
      <c r="E18" t="s">
        <v>15</v>
      </c>
      <c r="G18" s="15">
        <f>C36</f>
        <v>59.98427737135546</v>
      </c>
    </row>
    <row r="19" spans="1:7" ht="12.75">
      <c r="A19" t="s">
        <v>35</v>
      </c>
      <c r="C19" s="25">
        <v>200</v>
      </c>
      <c r="E19" t="s">
        <v>17</v>
      </c>
      <c r="G19" s="16">
        <f>C37*1.03</f>
        <v>144.21619430750388</v>
      </c>
    </row>
    <row r="20" spans="1:7" ht="12.75">
      <c r="A20" t="s">
        <v>16</v>
      </c>
      <c r="B20" s="11">
        <f>IF(C18&gt;C19,(C19-C18)*B6,0)</f>
        <v>-24732.830199999968</v>
      </c>
      <c r="C20" s="12">
        <f>B20/$B$6</f>
        <v>-12.366415099999983</v>
      </c>
      <c r="E20" t="s">
        <v>19</v>
      </c>
      <c r="G20" s="15">
        <f>G18+G19</f>
        <v>204.20047167885934</v>
      </c>
    </row>
    <row r="21" spans="1:7" ht="12.75">
      <c r="A21" t="s">
        <v>24</v>
      </c>
      <c r="B21" s="23">
        <v>0</v>
      </c>
      <c r="C21" s="12">
        <f>B21/$B$6</f>
        <v>0</v>
      </c>
      <c r="E21" t="s">
        <v>16</v>
      </c>
      <c r="F21" s="11">
        <f>SUM(F30:F31)</f>
        <v>-29107.256630281343</v>
      </c>
      <c r="G21" s="12">
        <f>F21/$F$6</f>
        <v>-14.55362831514067</v>
      </c>
    </row>
    <row r="22" spans="1:7" ht="12.75">
      <c r="A22" t="s">
        <v>18</v>
      </c>
      <c r="B22" s="24">
        <v>0</v>
      </c>
      <c r="C22" s="14">
        <f>B22/$B$6</f>
        <v>0</v>
      </c>
      <c r="E22" t="s">
        <v>24</v>
      </c>
      <c r="F22" s="23">
        <v>0</v>
      </c>
      <c r="G22" s="12">
        <f>F22/$F$6</f>
        <v>0</v>
      </c>
    </row>
    <row r="23" spans="1:7" ht="12.75">
      <c r="A23" t="s">
        <v>20</v>
      </c>
      <c r="B23" s="1">
        <f>SUM(B18:B22)</f>
        <v>400000</v>
      </c>
      <c r="C23" s="12">
        <f>B23/$B$6</f>
        <v>200</v>
      </c>
      <c r="E23" t="s">
        <v>30</v>
      </c>
      <c r="F23" s="23">
        <v>0</v>
      </c>
      <c r="G23" s="12">
        <f>F23/$F$6</f>
        <v>0</v>
      </c>
    </row>
    <row r="24" spans="5:7" ht="12.75">
      <c r="E24" t="s">
        <v>31</v>
      </c>
      <c r="F24" s="24">
        <v>0</v>
      </c>
      <c r="G24" s="14">
        <f>F24/$F$6</f>
        <v>0</v>
      </c>
    </row>
    <row r="25" spans="5:7" ht="12.75">
      <c r="E25" t="s">
        <v>20</v>
      </c>
      <c r="F25" s="1">
        <f>SUM(F17:F24)</f>
        <v>408400.94335771864</v>
      </c>
      <c r="G25" s="12">
        <f>F25/$F$6</f>
        <v>204.20047167885932</v>
      </c>
    </row>
    <row r="26" ht="12.75"/>
    <row r="27" spans="1:7" ht="12.75">
      <c r="A27" t="s">
        <v>26</v>
      </c>
      <c r="B27" s="1">
        <f>B14*((B10+B13)/(B10+B11+B12+B13))</f>
        <v>-789.3707228118988</v>
      </c>
      <c r="C27" s="12">
        <f>B27/$B$6</f>
        <v>-0.3946853614059494</v>
      </c>
      <c r="E27" t="s">
        <v>26</v>
      </c>
      <c r="F27" s="1">
        <f>F13*((F10+F12)/(F10+F11+F12))</f>
        <v>-773.5433293457361</v>
      </c>
      <c r="G27" s="12">
        <f>F27/$B$6</f>
        <v>-0.38677166467286805</v>
      </c>
    </row>
    <row r="28" spans="1:7" ht="12.75">
      <c r="A28" t="s">
        <v>27</v>
      </c>
      <c r="B28" s="1">
        <f>B14*((B11+B12)/(B10+B11+B12+B13))</f>
        <v>-1710.6292771881012</v>
      </c>
      <c r="C28" s="12">
        <f>B28/$B$6</f>
        <v>-0.8553146385940507</v>
      </c>
      <c r="E28" t="s">
        <v>27</v>
      </c>
      <c r="F28" s="1">
        <f>F13*(F11/(F10+F11+F12))</f>
        <v>-1726.456670654264</v>
      </c>
      <c r="G28" s="12">
        <f>F28/$B$6</f>
        <v>-0.863228335327132</v>
      </c>
    </row>
    <row r="29" spans="6:7" ht="12.75">
      <c r="F29" s="1"/>
      <c r="G29" s="2"/>
    </row>
    <row r="30" spans="1:7" ht="12.75">
      <c r="A30" t="s">
        <v>28</v>
      </c>
      <c r="B30" s="1">
        <f>B20*((B10+B13+B27+B16+B17)/B18)</f>
        <v>-7417.904734477174</v>
      </c>
      <c r="C30" s="12">
        <f>B30/$B$6</f>
        <v>-3.708952367238587</v>
      </c>
      <c r="D30" s="17"/>
      <c r="E30" t="s">
        <v>28</v>
      </c>
      <c r="F30" s="1">
        <f>IF((F10+F12+F15+F27)/F6&gt;C36,(C36-(F10+F12+F15+F27)/F6)*F6,0)</f>
        <v>-11266.521915943344</v>
      </c>
      <c r="G30" s="12">
        <f>F30/$B$6</f>
        <v>-5.633260957971672</v>
      </c>
    </row>
    <row r="31" spans="1:7" ht="12.75">
      <c r="A31" t="s">
        <v>29</v>
      </c>
      <c r="B31" s="1">
        <f>B20*((B11+B12+B28)/B18)</f>
        <v>-17314.925465522792</v>
      </c>
      <c r="C31" s="12">
        <f>B31/$B$6</f>
        <v>-8.657462732761395</v>
      </c>
      <c r="E31" t="s">
        <v>29</v>
      </c>
      <c r="F31" s="1">
        <f>IF((F11+F28)/F6&gt;C37*1.03,(C37*1.03-(F11+F28)/F6)*F6,0)</f>
        <v>-17840.734714338</v>
      </c>
      <c r="G31" s="12">
        <f>F31/$B$6</f>
        <v>-8.920367357168999</v>
      </c>
    </row>
    <row r="32" spans="6:7" ht="12.75">
      <c r="F32" s="1"/>
      <c r="G32" s="2"/>
    </row>
    <row r="33" spans="1:7" ht="12.75">
      <c r="A33" t="s">
        <v>30</v>
      </c>
      <c r="B33" s="1">
        <f>IF(B22=0,0,B22*(B30/(B30+B31+B21)))</f>
        <v>0</v>
      </c>
      <c r="C33" s="12">
        <f>B33/$B$6</f>
        <v>0</v>
      </c>
      <c r="E33" t="s">
        <v>30</v>
      </c>
      <c r="F33" s="1">
        <f>F23</f>
        <v>0</v>
      </c>
      <c r="G33" s="12">
        <f>F33/$B$6</f>
        <v>0</v>
      </c>
    </row>
    <row r="34" spans="1:7" ht="12.75">
      <c r="A34" t="s">
        <v>31</v>
      </c>
      <c r="B34" s="1">
        <f>IF(B22=0,0,B22*((B31+B21)/(B30+B31+B21)))+B21</f>
        <v>0</v>
      </c>
      <c r="C34" s="12">
        <f>B34/$B$6</f>
        <v>0</v>
      </c>
      <c r="E34" t="s">
        <v>31</v>
      </c>
      <c r="F34" s="1">
        <f>F24</f>
        <v>0</v>
      </c>
      <c r="G34" s="12">
        <f>F34/$B$6</f>
        <v>0</v>
      </c>
    </row>
    <row r="35" ht="12.75"/>
    <row r="36" spans="1:7" ht="12.75">
      <c r="A36" t="s">
        <v>32</v>
      </c>
      <c r="B36" s="1">
        <f>B10+B13+B16++B17+B27+B30+B33</f>
        <v>119968.55474271093</v>
      </c>
      <c r="C36" s="12">
        <f>B36/$B$6</f>
        <v>59.98427737135546</v>
      </c>
      <c r="E36" t="s">
        <v>32</v>
      </c>
      <c r="F36" s="1">
        <f>F10+F12+F15++F16+F27+F30+F33</f>
        <v>119968.55474271091</v>
      </c>
      <c r="G36" s="12">
        <f>F36/$F$6</f>
        <v>59.984277371355454</v>
      </c>
    </row>
    <row r="37" spans="1:7" ht="12.75">
      <c r="A37" t="s">
        <v>33</v>
      </c>
      <c r="B37" s="13">
        <f>B11+B12+B28+B31+B34</f>
        <v>280031.4452572891</v>
      </c>
      <c r="C37" s="14">
        <f>B37/$B$6</f>
        <v>140.01572262864454</v>
      </c>
      <c r="E37" t="s">
        <v>33</v>
      </c>
      <c r="F37" s="13">
        <f>F11+F28+F31+F34</f>
        <v>288432.3886150078</v>
      </c>
      <c r="G37" s="14">
        <f>F37/$F$6</f>
        <v>144.2161943075039</v>
      </c>
    </row>
    <row r="38" spans="1:7" ht="12.75">
      <c r="A38" t="s">
        <v>21</v>
      </c>
      <c r="B38" s="1">
        <f>SUM(B36:B37)</f>
        <v>400000</v>
      </c>
      <c r="C38" s="10">
        <f>SUM(C36:C37)</f>
        <v>200</v>
      </c>
      <c r="E38" t="s">
        <v>21</v>
      </c>
      <c r="F38" s="1">
        <f>SUM(F36:F37)</f>
        <v>408400.9433577187</v>
      </c>
      <c r="G38" s="17">
        <f>SUM(G36:G37)</f>
        <v>204.20047167885937</v>
      </c>
    </row>
    <row r="39" spans="1:7" ht="12.75">
      <c r="A39" s="18"/>
      <c r="B39" s="11"/>
      <c r="C39" s="19"/>
      <c r="D39" s="18"/>
      <c r="E39" s="20"/>
      <c r="F39" s="18"/>
      <c r="G39" s="18"/>
    </row>
    <row r="41" ht="12.75"/>
    <row r="44" ht="12.75"/>
    <row r="47" ht="12.75"/>
    <row r="48" ht="12.75"/>
    <row r="51" ht="12.75"/>
    <row r="53" ht="12.75"/>
    <row r="56" ht="12.75"/>
  </sheetData>
  <sheetProtection password="C1F9" sheet="1" objects="1" scenarios="1"/>
  <printOptions/>
  <pageMargins left="0.75" right="0.75" top="0.5" bottom="0.5" header="0.5" footer="0.5"/>
  <pageSetup cellComments="asDisplayed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2013-08-15T13:57:25Z</cp:lastPrinted>
  <dcterms:created xsi:type="dcterms:W3CDTF">2013-08-12T15:23:18Z</dcterms:created>
  <dcterms:modified xsi:type="dcterms:W3CDTF">2013-08-15T14:00:58Z</dcterms:modified>
  <cp:category/>
  <cp:version/>
  <cp:contentType/>
  <cp:contentStatus/>
</cp:coreProperties>
</file>