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8" windowHeight="7776" activeTab="0"/>
  </bookViews>
  <sheets>
    <sheet name="1314 recon" sheetId="1" r:id="rId1"/>
  </sheets>
  <definedNames>
    <definedName name="_xlnm.Print_Area" localSheetId="0">'1314 recon'!$A$1:$G$55</definedName>
  </definedNames>
  <calcPr fullCalcOnLoad="1"/>
</workbook>
</file>

<file path=xl/comments1.xml><?xml version="1.0" encoding="utf-8"?>
<comments xmlns="http://schemas.openxmlformats.org/spreadsheetml/2006/main">
  <authors>
    <author> </author>
    <author>Brian Zawistowski</author>
  </authors>
  <commentList>
    <comment ref="A26" authorId="0">
      <text>
        <r>
          <rPr>
            <b/>
            <sz val="10"/>
            <rFont val="Tahoma"/>
            <family val="2"/>
          </rPr>
          <t>Revenues are allocated NDC/DC on a pro-rata basis of adjusted NDC (less median)/DC costs</t>
        </r>
        <r>
          <rPr>
            <sz val="10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10"/>
            <rFont val="Tahoma"/>
            <family val="2"/>
          </rPr>
          <t>TCS is allocated NDC/DC on a pro-rata basis of NDC/DC costs before TCS calculation.</t>
        </r>
        <r>
          <rPr>
            <sz val="10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0"/>
            <rFont val="Tahoma"/>
            <family val="2"/>
          </rPr>
          <t>Reimb $$ NDC = adjusted NDC costs - median adj - offsetting revs NDC - NDC screen + NDC screen waiver - TCS NDC + TCS waiver NDC.</t>
        </r>
        <r>
          <rPr>
            <sz val="10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Reimb $$ DC = adjusted DC costs - offsetting revs DC - TCS DC+ TCS waiver DC.</t>
        </r>
        <r>
          <rPr>
            <sz val="10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10"/>
            <rFont val="Tahoma"/>
            <family val="2"/>
          </rPr>
          <t>NDC per diem costs held to 2012-13 recon reimb per diem NDC $58.07.</t>
        </r>
        <r>
          <rPr>
            <sz val="10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rFont val="Tahoma"/>
            <family val="2"/>
          </rPr>
          <t>DC per diem costs held to 2012-13 recon reimb per diem DC $135.60 + 3.0% = $139.67.</t>
        </r>
        <r>
          <rPr>
            <sz val="10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10"/>
            <rFont val="Tahoma"/>
            <family val="2"/>
          </rPr>
          <t>Reimb $$ NDC = adj NDC costs - median adj - offsetting revs NDC - NDC screen + NDC screen waiver - TCS NDC + TCS waiver NDC.</t>
        </r>
        <r>
          <rPr>
            <sz val="10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10"/>
            <rFont val="Tahoma"/>
            <family val="2"/>
          </rPr>
          <t>Reimb $$ DC = adjusted DC costs - offsetting revs DC - TCS DC + TCS waiver DC</t>
        </r>
        <r>
          <rPr>
            <sz val="10"/>
            <rFont val="Tahoma"/>
            <family val="2"/>
          </rPr>
          <t xml:space="preserve">
</t>
        </r>
      </text>
    </comment>
    <comment ref="B7" authorId="1">
      <text>
        <r>
          <rPr>
            <b/>
            <sz val="10"/>
            <rFont val="Tahoma"/>
            <family val="2"/>
          </rPr>
          <t>CFR-1 22100 11-12 rpt year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<sst xmlns="http://schemas.openxmlformats.org/spreadsheetml/2006/main" count="61" uniqueCount="35">
  <si>
    <t>Two 2013-14 recon TCS calculations: 1) 2012-13 DC recon per diem plus 3%</t>
  </si>
  <si>
    <t>2) 2012-13 NDC per diem plus 0%</t>
  </si>
  <si>
    <t>CARE DAYS</t>
  </si>
  <si>
    <t>DC TREND</t>
  </si>
  <si>
    <t>PER</t>
  </si>
  <si>
    <t>AMOUNT</t>
  </si>
  <si>
    <t>DIEM</t>
  </si>
  <si>
    <t>NDC COSTS</t>
  </si>
  <si>
    <t>DC COSTS</t>
  </si>
  <si>
    <t>MEDIAN ADJ</t>
  </si>
  <si>
    <t>OFFSETTING REVS</t>
  </si>
  <si>
    <t>GROSS COSTS</t>
  </si>
  <si>
    <t>NDC SCREEN</t>
  </si>
  <si>
    <t>NDC WAIVER</t>
  </si>
  <si>
    <t>COSTS BEFORE TCS</t>
  </si>
  <si>
    <t>LYPD</t>
  </si>
  <si>
    <t>TCS</t>
  </si>
  <si>
    <t>TCS WAIVER</t>
  </si>
  <si>
    <t>REIMB $</t>
  </si>
  <si>
    <t>TOTAL REIMB $$</t>
  </si>
  <si>
    <t>2012-13 RECON</t>
  </si>
  <si>
    <t>2013-14 RECON</t>
  </si>
  <si>
    <t>NDC MAX PER DIEM</t>
  </si>
  <si>
    <t>DC MAX PER DIEM</t>
  </si>
  <si>
    <t>TSG WAIVER</t>
  </si>
  <si>
    <t>2013-14 School Age Methodology -  Reconciliation Tuition Rates</t>
  </si>
  <si>
    <t>OFFSET REVS - NDC</t>
  </si>
  <si>
    <t>OFFSET REVS - DC</t>
  </si>
  <si>
    <t>TCS - NDC</t>
  </si>
  <si>
    <t>TCS - DC</t>
  </si>
  <si>
    <t>TCS WAIVER - NDC</t>
  </si>
  <si>
    <t>TCS WAIVER - DC</t>
  </si>
  <si>
    <t>REIMB $$ - NDC</t>
  </si>
  <si>
    <t>REIMB $$ - DC</t>
  </si>
  <si>
    <t>CFR1 TSG REV (22100)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</si>
</sst>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7" fontId="0" fillId="0" borderId="0" xfId="0" applyNumberFormat="1" applyAlignment="1">
      <alignment horizontal="right"/>
    </xf>
    <xf numFmtId="5" fontId="0" fillId="0" borderId="0" xfId="0" applyNumberFormat="1" applyBorder="1" applyAlignment="1">
      <alignment/>
    </xf>
    <xf numFmtId="7" fontId="0" fillId="0" borderId="0" xfId="0" applyNumberFormat="1" applyBorder="1" applyAlignment="1">
      <alignment horizontal="right"/>
    </xf>
    <xf numFmtId="5" fontId="0" fillId="0" borderId="10" xfId="0" applyNumberFormat="1" applyBorder="1" applyAlignment="1">
      <alignment/>
    </xf>
    <xf numFmtId="7" fontId="0" fillId="0" borderId="10" xfId="0" applyNumberFormat="1" applyBorder="1" applyAlignment="1">
      <alignment horizontal="right"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37" fontId="0" fillId="33" borderId="0" xfId="0" applyNumberFormat="1" applyFill="1" applyAlignment="1">
      <alignment/>
    </xf>
    <xf numFmtId="5" fontId="0" fillId="33" borderId="0" xfId="0" applyNumberFormat="1" applyFill="1" applyAlignment="1">
      <alignment/>
    </xf>
    <xf numFmtId="5" fontId="0" fillId="33" borderId="0" xfId="0" applyNumberFormat="1" applyFill="1" applyBorder="1" applyAlignment="1">
      <alignment/>
    </xf>
    <xf numFmtId="5" fontId="0" fillId="33" borderId="10" xfId="0" applyNumberFormat="1" applyFill="1" applyBorder="1" applyAlignment="1">
      <alignment/>
    </xf>
    <xf numFmtId="7" fontId="0" fillId="33" borderId="0" xfId="0" applyNumberFormat="1" applyFill="1" applyBorder="1" applyAlignment="1">
      <alignment horizontal="right"/>
    </xf>
    <xf numFmtId="0" fontId="0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0.7109375" style="0" customWidth="1"/>
    <col min="2" max="2" width="13.421875" style="1" bestFit="1" customWidth="1"/>
    <col min="3" max="3" width="9.57421875" style="2" customWidth="1"/>
    <col min="4" max="4" width="4.00390625" style="0" customWidth="1"/>
    <col min="5" max="5" width="20.00390625" style="0" bestFit="1" customWidth="1"/>
    <col min="6" max="6" width="11.28125" style="0" bestFit="1" customWidth="1"/>
    <col min="7" max="7" width="11.140625" style="0" bestFit="1" customWidth="1"/>
  </cols>
  <sheetData>
    <row r="1" ht="12.75">
      <c r="D1" s="3" t="s">
        <v>25</v>
      </c>
    </row>
    <row r="2" ht="12.75">
      <c r="D2" s="3" t="s">
        <v>0</v>
      </c>
    </row>
    <row r="3" ht="12.75">
      <c r="D3" s="4" t="s">
        <v>1</v>
      </c>
    </row>
    <row r="4" ht="12.75"/>
    <row r="5" spans="1:7" ht="12.75">
      <c r="A5" s="5" t="s">
        <v>20</v>
      </c>
      <c r="E5" s="5" t="s">
        <v>21</v>
      </c>
      <c r="F5" s="1"/>
      <c r="G5" s="2"/>
    </row>
    <row r="6" spans="1:7" ht="12.75">
      <c r="A6" t="s">
        <v>2</v>
      </c>
      <c r="B6" s="18">
        <v>2200</v>
      </c>
      <c r="E6" t="s">
        <v>2</v>
      </c>
      <c r="F6" s="18">
        <v>2100</v>
      </c>
      <c r="G6" s="2"/>
    </row>
    <row r="7" spans="1:7" ht="12.75">
      <c r="A7" s="23" t="s">
        <v>34</v>
      </c>
      <c r="B7" s="19">
        <v>0</v>
      </c>
      <c r="E7" t="s">
        <v>3</v>
      </c>
      <c r="F7" s="7">
        <v>0.03</v>
      </c>
      <c r="G7" s="2"/>
    </row>
    <row r="8" spans="2:7" ht="12.75">
      <c r="B8" s="6"/>
      <c r="C8" s="2" t="s">
        <v>4</v>
      </c>
      <c r="F8" s="6"/>
      <c r="G8" s="2" t="s">
        <v>4</v>
      </c>
    </row>
    <row r="9" spans="2:7" ht="12.75">
      <c r="B9" s="8" t="s">
        <v>5</v>
      </c>
      <c r="C9" s="9" t="s">
        <v>6</v>
      </c>
      <c r="F9" s="8" t="s">
        <v>5</v>
      </c>
      <c r="G9" s="9" t="s">
        <v>6</v>
      </c>
    </row>
    <row r="10" spans="1:7" ht="12.75">
      <c r="A10" t="s">
        <v>7</v>
      </c>
      <c r="B10" s="19">
        <v>150000</v>
      </c>
      <c r="C10" s="10">
        <f aca="true" t="shared" si="0" ref="C10:C17">B10/$B$6</f>
        <v>68.18181818181819</v>
      </c>
      <c r="E10" t="s">
        <v>7</v>
      </c>
      <c r="F10" s="19">
        <v>160000</v>
      </c>
      <c r="G10" s="10">
        <f aca="true" t="shared" si="1" ref="G10:G17">F10/$F$6</f>
        <v>76.19047619047619</v>
      </c>
    </row>
    <row r="11" spans="1:7" ht="12.75">
      <c r="A11" t="s">
        <v>8</v>
      </c>
      <c r="B11" s="20">
        <v>300000</v>
      </c>
      <c r="C11" s="10">
        <f t="shared" si="0"/>
        <v>136.36363636363637</v>
      </c>
      <c r="E11" t="s">
        <v>8</v>
      </c>
      <c r="F11" s="20">
        <v>310000</v>
      </c>
      <c r="G11" s="10">
        <f t="shared" si="1"/>
        <v>147.61904761904762</v>
      </c>
    </row>
    <row r="12" spans="1:7" ht="12.75">
      <c r="A12" t="s">
        <v>9</v>
      </c>
      <c r="B12" s="19">
        <v>-1500</v>
      </c>
      <c r="C12" s="10">
        <f t="shared" si="0"/>
        <v>-0.6818181818181818</v>
      </c>
      <c r="E12" t="s">
        <v>9</v>
      </c>
      <c r="F12" s="19">
        <v>-1000</v>
      </c>
      <c r="G12" s="10">
        <f t="shared" si="1"/>
        <v>-0.47619047619047616</v>
      </c>
    </row>
    <row r="13" spans="1:7" ht="12.75">
      <c r="A13" t="s">
        <v>10</v>
      </c>
      <c r="B13" s="21">
        <v>-2500</v>
      </c>
      <c r="C13" s="14">
        <f t="shared" si="0"/>
        <v>-1.1363636363636365</v>
      </c>
      <c r="E13" t="s">
        <v>10</v>
      </c>
      <c r="F13" s="21">
        <v>-2000</v>
      </c>
      <c r="G13" s="14">
        <f t="shared" si="1"/>
        <v>-0.9523809523809523</v>
      </c>
    </row>
    <row r="14" spans="1:7" ht="12.75">
      <c r="A14" t="s">
        <v>11</v>
      </c>
      <c r="B14" s="1">
        <f>SUM(B10:B13)</f>
        <v>446000</v>
      </c>
      <c r="C14" s="10">
        <f t="shared" si="0"/>
        <v>202.72727272727272</v>
      </c>
      <c r="E14" t="s">
        <v>11</v>
      </c>
      <c r="F14" s="1">
        <f>SUM(F10:F13)</f>
        <v>467000</v>
      </c>
      <c r="G14" s="10">
        <f t="shared" si="1"/>
        <v>222.38095238095238</v>
      </c>
    </row>
    <row r="15" spans="1:7" ht="12.75">
      <c r="A15" t="s">
        <v>12</v>
      </c>
      <c r="B15" s="11">
        <f>IF((B11*0.4286)&lt;B10+B12,(B11*0.4286)-(B10+B12),0)</f>
        <v>-19920</v>
      </c>
      <c r="C15" s="10">
        <f t="shared" si="0"/>
        <v>-9.054545454545455</v>
      </c>
      <c r="E15" t="s">
        <v>12</v>
      </c>
      <c r="F15" s="11">
        <f>IF((F11*0.4286)&lt;F10+F12,(F11*0.4286)-(F10+F12),0)</f>
        <v>-26134</v>
      </c>
      <c r="G15" s="10">
        <f t="shared" si="1"/>
        <v>-12.444761904761904</v>
      </c>
    </row>
    <row r="16" spans="1:7" ht="12.75">
      <c r="A16" t="s">
        <v>13</v>
      </c>
      <c r="B16" s="21">
        <v>0</v>
      </c>
      <c r="C16" s="14">
        <f t="shared" si="0"/>
        <v>0</v>
      </c>
      <c r="E16" t="s">
        <v>13</v>
      </c>
      <c r="F16" s="21">
        <v>0</v>
      </c>
      <c r="G16" s="14">
        <f t="shared" si="1"/>
        <v>0</v>
      </c>
    </row>
    <row r="17" spans="1:7" ht="12.75">
      <c r="A17" t="s">
        <v>14</v>
      </c>
      <c r="B17" s="1">
        <f>B14+B15+B16</f>
        <v>426080</v>
      </c>
      <c r="C17" s="12">
        <f t="shared" si="0"/>
        <v>193.6727272727273</v>
      </c>
      <c r="E17" t="s">
        <v>14</v>
      </c>
      <c r="F17" s="1">
        <f>F14+F15+F16</f>
        <v>440866</v>
      </c>
      <c r="G17" s="12">
        <f t="shared" si="1"/>
        <v>209.9361904761905</v>
      </c>
    </row>
    <row r="18" spans="1:7" ht="12.75">
      <c r="A18" t="s">
        <v>15</v>
      </c>
      <c r="C18" s="22">
        <v>201.5</v>
      </c>
      <c r="E18" t="s">
        <v>22</v>
      </c>
      <c r="G18" s="15">
        <f>C35</f>
        <v>58.06920036485254</v>
      </c>
    </row>
    <row r="19" spans="1:7" ht="12.75">
      <c r="A19" t="s">
        <v>16</v>
      </c>
      <c r="B19" s="20">
        <f>IF(C17&gt;C18,(C18-C17)*B6,0)</f>
        <v>0</v>
      </c>
      <c r="C19" s="12">
        <f>B19/$B$6</f>
        <v>0</v>
      </c>
      <c r="E19" t="s">
        <v>23</v>
      </c>
      <c r="G19" s="17">
        <f>C36*1.03</f>
        <v>139.67163271511097</v>
      </c>
    </row>
    <row r="20" spans="1:7" ht="12.75">
      <c r="A20" t="s">
        <v>24</v>
      </c>
      <c r="B20" s="19">
        <v>0</v>
      </c>
      <c r="C20" s="12">
        <f>B20/$B$6</f>
        <v>0</v>
      </c>
      <c r="E20" t="s">
        <v>16</v>
      </c>
      <c r="F20" s="11">
        <f>SUM(F29:F30)</f>
        <v>-25610.250532076614</v>
      </c>
      <c r="G20" s="12">
        <f>F20/$F$6</f>
        <v>-12.195357396226958</v>
      </c>
    </row>
    <row r="21" spans="1:7" ht="12.75">
      <c r="A21" t="s">
        <v>17</v>
      </c>
      <c r="B21" s="21">
        <v>0</v>
      </c>
      <c r="C21" s="14">
        <f>B21/$B$6</f>
        <v>0</v>
      </c>
      <c r="E21" t="s">
        <v>24</v>
      </c>
      <c r="F21" s="20">
        <v>0</v>
      </c>
      <c r="G21" s="12">
        <f>F21/$F$6</f>
        <v>0</v>
      </c>
    </row>
    <row r="22" spans="1:7" ht="12.75">
      <c r="A22" t="s">
        <v>18</v>
      </c>
      <c r="B22" s="1">
        <f>SUM(B17:B21)</f>
        <v>426080</v>
      </c>
      <c r="C22" s="12">
        <f>B22/$B$6</f>
        <v>193.6727272727273</v>
      </c>
      <c r="E22" t="s">
        <v>30</v>
      </c>
      <c r="F22" s="20">
        <v>0</v>
      </c>
      <c r="G22" s="12">
        <f>F22/$F$6</f>
        <v>0</v>
      </c>
    </row>
    <row r="23" spans="5:7" ht="12.75">
      <c r="E23" t="s">
        <v>31</v>
      </c>
      <c r="F23" s="21">
        <v>0</v>
      </c>
      <c r="G23" s="14">
        <f>F23/$F$6</f>
        <v>0</v>
      </c>
    </row>
    <row r="24" spans="5:7" ht="12.75">
      <c r="E24" t="s">
        <v>18</v>
      </c>
      <c r="F24" s="1">
        <f>SUM(F17:F23)</f>
        <v>415255.74946792336</v>
      </c>
      <c r="G24" s="12">
        <f>F24/$F$6</f>
        <v>197.7408330799635</v>
      </c>
    </row>
    <row r="25" ht="12.75"/>
    <row r="26" spans="1:7" ht="12.75">
      <c r="A26" t="s">
        <v>26</v>
      </c>
      <c r="B26" s="1">
        <f>(B13+B7)*((B10+B12)/(B10+B11+B12))</f>
        <v>-827.7591973244147</v>
      </c>
      <c r="C26" s="12">
        <f>B26/$B$6</f>
        <v>-0.37625418060200666</v>
      </c>
      <c r="E26" t="s">
        <v>26</v>
      </c>
      <c r="F26" s="1">
        <f>F13*((F10+F12)/(F10+F11+F12))</f>
        <v>-678.0383795309168</v>
      </c>
      <c r="G26" s="12">
        <f>F26/$F$6</f>
        <v>-0.3228754188242461</v>
      </c>
    </row>
    <row r="27" spans="1:7" ht="12.75">
      <c r="A27" t="s">
        <v>27</v>
      </c>
      <c r="B27" s="1">
        <f>(B13+B7)*(B11/(B10+B11+B12))-B7</f>
        <v>-1672.2408026755852</v>
      </c>
      <c r="C27" s="12">
        <f>B27/$B$6</f>
        <v>-0.7601094557616296</v>
      </c>
      <c r="E27" t="s">
        <v>27</v>
      </c>
      <c r="F27" s="1">
        <f>F13*(F11/(F10+F11+F12))</f>
        <v>-1321.961620469083</v>
      </c>
      <c r="G27" s="12">
        <f>F27/$F$6</f>
        <v>-0.6295055335567062</v>
      </c>
    </row>
    <row r="28" spans="6:7" ht="12.75">
      <c r="F28" s="1"/>
      <c r="G28" s="2"/>
    </row>
    <row r="29" spans="1:9" ht="12.75">
      <c r="A29" t="s">
        <v>28</v>
      </c>
      <c r="B29" s="1">
        <f>B19*((B10+B12+B26+B15+B16)/B17)</f>
        <v>0</v>
      </c>
      <c r="C29" s="12">
        <f>B29/$B$6</f>
        <v>0</v>
      </c>
      <c r="E29" t="s">
        <v>28</v>
      </c>
      <c r="F29" s="1">
        <f>IF((F10+F12+F15+F16+F26)/F6&gt;G18,((G18-(F10+F12+F15+F16+F26)/F6)*F6),0)</f>
        <v>-10242.640854278749</v>
      </c>
      <c r="G29" s="12">
        <f>F29/$F$6</f>
        <v>-4.877448025847023</v>
      </c>
      <c r="I29" s="1"/>
    </row>
    <row r="30" spans="1:7" ht="12.75">
      <c r="A30" t="s">
        <v>29</v>
      </c>
      <c r="B30" s="1">
        <f>B19*((B11+B27)/B17)</f>
        <v>0</v>
      </c>
      <c r="C30" s="12">
        <f>B30/$B$6</f>
        <v>0</v>
      </c>
      <c r="E30" t="s">
        <v>29</v>
      </c>
      <c r="F30" s="1">
        <f>IF((F11+F27)/F6&gt;G19,((G19-(F11+F27)/F6)*F6),0)</f>
        <v>-15367.609677797867</v>
      </c>
      <c r="G30" s="12">
        <f>F30/$F$6</f>
        <v>-7.317909370379937</v>
      </c>
    </row>
    <row r="31" spans="6:7" ht="12.75">
      <c r="F31" s="1"/>
      <c r="G31" s="2"/>
    </row>
    <row r="32" spans="1:7" ht="12.75">
      <c r="A32" t="s">
        <v>30</v>
      </c>
      <c r="B32" s="1">
        <f>IF(B21=0,0,B21*(B29/(B29+B30+B20)))</f>
        <v>0</v>
      </c>
      <c r="C32" s="12">
        <f>B32/$B$6</f>
        <v>0</v>
      </c>
      <c r="E32" t="s">
        <v>30</v>
      </c>
      <c r="F32" s="1">
        <f>F22</f>
        <v>0</v>
      </c>
      <c r="G32" s="12">
        <f>F32/$F$6</f>
        <v>0</v>
      </c>
    </row>
    <row r="33" spans="1:7" ht="12.75">
      <c r="A33" t="s">
        <v>31</v>
      </c>
      <c r="B33" s="1">
        <f>IF(B21=0,0,B21*((B30+B20)/(B29+B30+B20)))+B20</f>
        <v>0</v>
      </c>
      <c r="C33" s="12">
        <f>B33/$B$6</f>
        <v>0</v>
      </c>
      <c r="E33" t="s">
        <v>31</v>
      </c>
      <c r="F33" s="1">
        <f>F21+F23</f>
        <v>0</v>
      </c>
      <c r="G33" s="12">
        <f>F33/$F$6</f>
        <v>0</v>
      </c>
    </row>
    <row r="34" ht="12.75"/>
    <row r="35" spans="1:7" ht="12.75">
      <c r="A35" t="s">
        <v>32</v>
      </c>
      <c r="B35" s="1">
        <f>B10+B12+B15++B16+B26+B29+B32</f>
        <v>127752.24080267559</v>
      </c>
      <c r="C35" s="12">
        <f>B35/$B$6</f>
        <v>58.06920036485254</v>
      </c>
      <c r="E35" t="s">
        <v>32</v>
      </c>
      <c r="F35" s="1">
        <f>F10+F12+F15++F16+F26+F29+F32</f>
        <v>121945.32076619033</v>
      </c>
      <c r="G35" s="12">
        <f>F35/$F$6</f>
        <v>58.069200364852534</v>
      </c>
    </row>
    <row r="36" spans="1:7" ht="12.75">
      <c r="A36" t="s">
        <v>33</v>
      </c>
      <c r="B36" s="13">
        <f>B11+B27+B30+B33</f>
        <v>298327.7591973244</v>
      </c>
      <c r="C36" s="14">
        <f>B36/$B$6</f>
        <v>135.60352690787474</v>
      </c>
      <c r="E36" t="s">
        <v>33</v>
      </c>
      <c r="F36" s="13">
        <f>F11+F27+F30+F33</f>
        <v>293310.428701733</v>
      </c>
      <c r="G36" s="14">
        <f>F36/$F$6</f>
        <v>139.67163271511095</v>
      </c>
    </row>
    <row r="37" spans="1:7" ht="12.75">
      <c r="A37" t="s">
        <v>19</v>
      </c>
      <c r="B37" s="1">
        <f>SUM(B35:B36)</f>
        <v>426080</v>
      </c>
      <c r="C37" s="10">
        <f>SUM(C35:C36)</f>
        <v>193.6727272727273</v>
      </c>
      <c r="E37" t="s">
        <v>19</v>
      </c>
      <c r="F37" s="1">
        <f>SUM(F35:F36)</f>
        <v>415255.7494679233</v>
      </c>
      <c r="G37" s="16">
        <f>SUM(G35:G36)</f>
        <v>197.74083307996347</v>
      </c>
    </row>
    <row r="40" ht="12.75"/>
    <row r="42" ht="12.75"/>
    <row r="43" ht="12.75"/>
    <row r="45" ht="12.75"/>
    <row r="46" ht="12.75"/>
    <row r="49" ht="12.75"/>
    <row r="51" ht="12.75"/>
  </sheetData>
  <sheetProtection password="D60B" sheet="1"/>
  <printOptions/>
  <pageMargins left="0.75" right="0.75" top="0.75" bottom="0.75" header="0.5" footer="0.5"/>
  <pageSetup cellComments="asDisplayed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Zawistowski</dc:creator>
  <cp:keywords/>
  <dc:description/>
  <cp:lastModifiedBy>Administrator</cp:lastModifiedBy>
  <cp:lastPrinted>2013-08-15T13:55:44Z</cp:lastPrinted>
  <dcterms:created xsi:type="dcterms:W3CDTF">2013-08-12T15:23:18Z</dcterms:created>
  <dcterms:modified xsi:type="dcterms:W3CDTF">2015-06-08T14:14:11Z</dcterms:modified>
  <cp:category/>
  <cp:version/>
  <cp:contentType/>
  <cp:contentStatus/>
</cp:coreProperties>
</file>